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W4" sheetId="1" r:id="rId1"/>
    <sheet name="#1 Hobgoblin" sheetId="2" r:id="rId2"/>
    <sheet name="#2 Hobgoblin" sheetId="3" r:id="rId3"/>
  </sheets>
  <definedNames>
    <definedName name="_1st_Run_Off" localSheetId="2">'#2 Hobgoblin'!$E$16</definedName>
    <definedName name="_1st_Run_Off">'#1 Hobgoblin'!$E$16</definedName>
    <definedName name="_2nd_Run_Off" localSheetId="2">'#2 Hobgoblin'!$G$16</definedName>
    <definedName name="_2nd_Run_Off">'#1 Hobgoblin'!$G$16</definedName>
    <definedName name="Absorbtion" localSheetId="2">'#2 Hobgoblin'!$C$6</definedName>
    <definedName name="Absorbtion">'#1 Hobgoblin'!$C$6</definedName>
    <definedName name="Absorbtion___Mash_tun_loss" localSheetId="2">'#2 Hobgoblin'!$D$16</definedName>
    <definedName name="Absorbtion___Mash_tun_loss">'#1 Hobgoblin'!$D$16</definedName>
    <definedName name="Batch_Size" localSheetId="2">'#2 Hobgoblin'!$C$3</definedName>
    <definedName name="Batch_Size">'#1 Hobgoblin'!$C$3</definedName>
    <definedName name="Boil_Loss" localSheetId="2">'#2 Hobgoblin'!$C$9</definedName>
    <definedName name="Boil_Loss">'#1 Hobgoblin'!$C$9</definedName>
    <definedName name="Boil_Time" localSheetId="2">'#2 Hobgoblin'!$C$10</definedName>
    <definedName name="Boil_Time">'#1 Hobgoblin'!$C$10</definedName>
    <definedName name="Grain_Bill" localSheetId="2">'#2 Hobgoblin'!$B$16</definedName>
    <definedName name="Grain_Bill">'#1 Hobgoblin'!$B$16</definedName>
    <definedName name="Kettle_Loss" localSheetId="2">'#2 Hobgoblin'!$C$11</definedName>
    <definedName name="Kettle_Loss">'#1 Hobgoblin'!$C$11</definedName>
    <definedName name="Mash_Ratio" localSheetId="2">'#2 Hobgoblin'!$C$4</definedName>
    <definedName name="Mash_Ratio">'#1 Hobgoblin'!$C$4</definedName>
    <definedName name="Mash_tun_loss" localSheetId="2">'#2 Hobgoblin'!$C$7</definedName>
    <definedName name="Mash_tun_loss">'#1 Hobgoblin'!$C$7</definedName>
    <definedName name="Mash_Water" localSheetId="2">'#2 Hobgoblin'!$C$16</definedName>
    <definedName name="Mash_Water">'#1 Hobgoblin'!$C$16</definedName>
    <definedName name="Post_boil_Loss" localSheetId="2">'#2 Hobgoblin'!$C$12</definedName>
    <definedName name="Post_boil_Loss">'#1 Hobgoblin'!$C$12</definedName>
    <definedName name="Pre_boil" localSheetId="2">'#2 Hobgoblin'!$H$16</definedName>
    <definedName name="Pre_boil">'#1 Hobgoblin'!$H$16</definedName>
    <definedName name="_xlnm.Print_Area" localSheetId="1">'#1 Hobgoblin'!$B:$L</definedName>
    <definedName name="_xlnm.Print_Area" localSheetId="2">'#2 Hobgoblin'!$B:$L</definedName>
    <definedName name="Sparge_loss" localSheetId="2">'#2 Hobgoblin'!$C$8</definedName>
    <definedName name="Sparge_loss">'#1 Hobgoblin'!$C$8</definedName>
    <definedName name="Sparge_Ratio" localSheetId="2">'#2 Hobgoblin'!$C$5</definedName>
    <definedName name="Sparge_Ratio">'#1 Hobgoblin'!$C$5</definedName>
    <definedName name="Sparge_Water" localSheetId="2">'#2 Hobgoblin'!$F$16</definedName>
    <definedName name="Sparge_Water">'#1 Hobgoblin'!$F$16</definedName>
    <definedName name="Water_to_add_to_boil" localSheetId="2">'#2 Hobgoblin'!$I$16</definedName>
    <definedName name="Water_to_add_to_boil">'#1 Hobgoblin'!$I$16</definedName>
    <definedName name="Wort_to_Kettle" localSheetId="2">'#2 Hobgoblin'!$H$16</definedName>
    <definedName name="Wort_to_Kettle">'#1 Hobgoblin'!$H$16</definedName>
  </definedNames>
  <calcPr fullCalcOnLoad="1"/>
</workbook>
</file>

<file path=xl/sharedStrings.xml><?xml version="1.0" encoding="utf-8"?>
<sst xmlns="http://schemas.openxmlformats.org/spreadsheetml/2006/main" count="236" uniqueCount="101">
  <si>
    <t>Marris Otter</t>
  </si>
  <si>
    <t>Chocolate</t>
  </si>
  <si>
    <t>Black</t>
  </si>
  <si>
    <t>Cyrstal 55l</t>
  </si>
  <si>
    <t>Total Grain</t>
  </si>
  <si>
    <t>Hops</t>
  </si>
  <si>
    <t>30g</t>
  </si>
  <si>
    <t>20g</t>
  </si>
  <si>
    <t>15g</t>
  </si>
  <si>
    <t>Progress</t>
  </si>
  <si>
    <t>Goldings</t>
  </si>
  <si>
    <t>Other</t>
  </si>
  <si>
    <t>1tsp</t>
  </si>
  <si>
    <t>Irish Moss</t>
  </si>
  <si>
    <t>Yeast</t>
  </si>
  <si>
    <t>English Ale.</t>
  </si>
  <si>
    <t>OG</t>
  </si>
  <si>
    <t>STM</t>
  </si>
  <si>
    <t>IBU</t>
  </si>
  <si>
    <r>
      <t xml:space="preserve">Stir make sure temp settles at </t>
    </r>
    <r>
      <rPr>
        <b/>
        <sz val="10"/>
        <color indexed="8"/>
        <rFont val="Verdana"/>
        <family val="2"/>
      </rPr>
      <t>68C</t>
    </r>
  </si>
  <si>
    <t>Leave for 90 minutes</t>
  </si>
  <si>
    <r>
      <t xml:space="preserve">Heat hot water to in boil kettle to </t>
    </r>
    <r>
      <rPr>
        <b/>
        <sz val="10"/>
        <color indexed="8"/>
        <rFont val="Verdana"/>
        <family val="2"/>
      </rPr>
      <t>77C</t>
    </r>
  </si>
  <si>
    <t>Run wort from lauter tun and recycle until clear.</t>
  </si>
  <si>
    <t>Boil until rapid rolling boil occurs</t>
  </si>
  <si>
    <t>Add Bittering Hops</t>
  </si>
  <si>
    <t>wait 30 Minutes</t>
  </si>
  <si>
    <t>Add Flavour Hops</t>
  </si>
  <si>
    <t>Wait 15 Minutes</t>
  </si>
  <si>
    <t>Add Aroma Hops</t>
  </si>
  <si>
    <t>Wait 10 Minutes</t>
  </si>
  <si>
    <t>Add Irish moss.</t>
  </si>
  <si>
    <t>Add cleaned immersion chiller boil for a further few minutes</t>
  </si>
  <si>
    <r>
      <t xml:space="preserve">Reduce heat to </t>
    </r>
    <r>
      <rPr>
        <b/>
        <sz val="10"/>
        <color indexed="8"/>
        <rFont val="Verdana"/>
        <family val="2"/>
      </rPr>
      <t>25c</t>
    </r>
    <r>
      <rPr>
        <sz val="10"/>
        <color indexed="8"/>
        <rFont val="Verdana"/>
        <family val="2"/>
      </rPr>
      <t xml:space="preserve"> (Collect chiller water for cleaning)</t>
    </r>
  </si>
  <si>
    <t>Have a Home brew to get rid of sweet taste.</t>
  </si>
  <si>
    <t>Strain into fermenter and aerate</t>
  </si>
  <si>
    <t>Pitch yeast</t>
  </si>
  <si>
    <t>Add cap and airlock.</t>
  </si>
  <si>
    <t>Take Gravity Measurement and record.</t>
  </si>
  <si>
    <t>L</t>
  </si>
  <si>
    <t>First run off should be</t>
  </si>
  <si>
    <t>Grain Bill</t>
  </si>
  <si>
    <t>Mash Ratio</t>
  </si>
  <si>
    <t>L/KG</t>
  </si>
  <si>
    <t>Batch Size</t>
  </si>
  <si>
    <t>Boil Loss</t>
  </si>
  <si>
    <t>L/Hr</t>
  </si>
  <si>
    <t>Kettle Loss</t>
  </si>
  <si>
    <t>Mash with</t>
  </si>
  <si>
    <t>Mash Water</t>
  </si>
  <si>
    <t>1st Run Off</t>
  </si>
  <si>
    <t>Sparge Ratio</t>
  </si>
  <si>
    <t>Sparge Water</t>
  </si>
  <si>
    <t>Post boil</t>
  </si>
  <si>
    <t>To primary</t>
  </si>
  <si>
    <t>To secondary</t>
  </si>
  <si>
    <t>Primary Loss</t>
  </si>
  <si>
    <t>Water to add to boil</t>
  </si>
  <si>
    <t>Boil Time</t>
  </si>
  <si>
    <t>min</t>
  </si>
  <si>
    <t>Post boil Loss</t>
  </si>
  <si>
    <t>Wort to Kettle</t>
  </si>
  <si>
    <t>2nd Run off</t>
  </si>
  <si>
    <t>Added to Boil</t>
  </si>
  <si>
    <t>Updated Figures</t>
  </si>
  <si>
    <t>L/HR</t>
  </si>
  <si>
    <r>
      <t xml:space="preserve">Heat 19L of water in hot water kettle heat to </t>
    </r>
    <r>
      <rPr>
        <b/>
        <sz val="10"/>
        <color indexed="8"/>
        <rFont val="Verdana"/>
        <family val="2"/>
      </rPr>
      <t>77C</t>
    </r>
  </si>
  <si>
    <t>Litres of water</t>
  </si>
  <si>
    <t xml:space="preserve">Sparge With </t>
  </si>
  <si>
    <r>
      <t xml:space="preserve">Litres of </t>
    </r>
    <r>
      <rPr>
        <b/>
        <sz val="10"/>
        <rFont val="Arial"/>
        <family val="2"/>
      </rPr>
      <t>77c</t>
    </r>
    <r>
      <rPr>
        <sz val="10"/>
        <rFont val="Arial"/>
        <family val="0"/>
      </rPr>
      <t xml:space="preserve"> water</t>
    </r>
  </si>
  <si>
    <t>Stir and drain into brew kettle.</t>
  </si>
  <si>
    <t xml:space="preserve">Wort added to kettle </t>
  </si>
  <si>
    <t>Schedule</t>
  </si>
  <si>
    <t>Forecast</t>
  </si>
  <si>
    <t>Absorption</t>
  </si>
  <si>
    <t>Absorption &amp;  loss</t>
  </si>
  <si>
    <t>1st Run off</t>
  </si>
  <si>
    <t>Sparge</t>
  </si>
  <si>
    <t>Mash loss</t>
  </si>
  <si>
    <t>Sparge loss</t>
  </si>
  <si>
    <t>2nd Run Off</t>
  </si>
  <si>
    <t>Sparge Loss</t>
  </si>
  <si>
    <t>Recipe</t>
  </si>
  <si>
    <t>Notes</t>
  </si>
  <si>
    <t xml:space="preserve">Wort to add to kettle </t>
  </si>
  <si>
    <t>Sparge Water to collect</t>
  </si>
  <si>
    <t>Added to Primary</t>
  </si>
  <si>
    <t>Added to Secondary</t>
  </si>
  <si>
    <t>Brew Log</t>
  </si>
  <si>
    <t>Hob Goblin</t>
  </si>
  <si>
    <t>Date Brewed</t>
  </si>
  <si>
    <t>Schedule Discrepancies</t>
  </si>
  <si>
    <t>OG Going into Primary</t>
  </si>
  <si>
    <t>SG Going into Secondary</t>
  </si>
  <si>
    <t>Bottle Date</t>
  </si>
  <si>
    <t>Grain (KG)</t>
  </si>
  <si>
    <t>US Gallon</t>
  </si>
  <si>
    <t>UK Gallon</t>
  </si>
  <si>
    <t>ABV</t>
  </si>
  <si>
    <t>-</t>
  </si>
  <si>
    <t>22.5L Beaverdale Rioja (Oaked)</t>
  </si>
  <si>
    <t xml:space="preserve">Satabiliser added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</si>
</sst>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"/>
    <numFmt numFmtId="174" formatCode="0.00000000"/>
    <numFmt numFmtId="175" formatCode="0.0000000000"/>
    <numFmt numFmtId="176" formatCode="0.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26"/>
      <name val="Ruach LET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 wrapText="1"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0" fontId="0" fillId="0" borderId="12" xfId="0" applyBorder="1" applyAlignment="1">
      <alignment/>
    </xf>
    <xf numFmtId="2" fontId="0" fillId="2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168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164" fontId="0" fillId="2" borderId="20" xfId="0" applyNumberFormat="1" applyFill="1" applyBorder="1" applyAlignment="1">
      <alignment/>
    </xf>
    <xf numFmtId="164" fontId="0" fillId="2" borderId="21" xfId="0" applyNumberFormat="1" applyFill="1" applyBorder="1" applyAlignment="1">
      <alignment/>
    </xf>
    <xf numFmtId="164" fontId="2" fillId="3" borderId="22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68" fontId="0" fillId="0" borderId="3" xfId="0" applyNumberFormat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2" fontId="0" fillId="3" borderId="23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2" borderId="14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12" xfId="0" applyNumberFormat="1" applyFont="1" applyFill="1" applyBorder="1" applyAlignment="1">
      <alignment horizontal="center"/>
    </xf>
    <xf numFmtId="168" fontId="1" fillId="3" borderId="13" xfId="0" applyNumberFormat="1" applyFont="1" applyFill="1" applyBorder="1" applyAlignment="1">
      <alignment horizontal="center"/>
    </xf>
    <xf numFmtId="168" fontId="1" fillId="3" borderId="14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/>
    </xf>
    <xf numFmtId="168" fontId="1" fillId="3" borderId="31" xfId="0" applyNumberFormat="1" applyFont="1" applyFill="1" applyBorder="1" applyAlignment="1">
      <alignment horizontal="center"/>
    </xf>
    <xf numFmtId="168" fontId="1" fillId="3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4" fontId="0" fillId="2" borderId="12" xfId="0" applyNumberFormat="1" applyFill="1" applyBorder="1" applyAlignment="1">
      <alignment/>
    </xf>
    <xf numFmtId="14" fontId="0" fillId="2" borderId="9" xfId="0" applyNumberForma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3" sqref="A3"/>
    </sheetView>
  </sheetViews>
  <sheetFormatPr defaultColWidth="9.140625" defaultRowHeight="12.75"/>
  <cols>
    <col min="1" max="1" width="27.57421875" style="0" bestFit="1" customWidth="1"/>
    <col min="2" max="2" width="10.140625" style="0" bestFit="1" customWidth="1"/>
  </cols>
  <sheetData>
    <row r="1" spans="1:2" ht="12.75">
      <c r="A1" t="s">
        <v>99</v>
      </c>
      <c r="B1" s="72">
        <v>38705</v>
      </c>
    </row>
    <row r="2" spans="1:2" ht="12.75">
      <c r="A2" t="s">
        <v>100</v>
      </c>
      <c r="B2" s="72">
        <v>38760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9"/>
  <sheetViews>
    <sheetView workbookViewId="0" topLeftCell="A1">
      <selection activeCell="K11" sqref="K11"/>
    </sheetView>
  </sheetViews>
  <sheetFormatPr defaultColWidth="9.140625" defaultRowHeight="12.75"/>
  <cols>
    <col min="1" max="1" width="1.57421875" style="0" customWidth="1"/>
    <col min="2" max="2" width="12.140625" style="0" customWidth="1"/>
    <col min="3" max="3" width="12.00390625" style="0" customWidth="1"/>
    <col min="4" max="4" width="10.57421875" style="0" customWidth="1"/>
    <col min="5" max="5" width="8.140625" style="0" customWidth="1"/>
    <col min="6" max="6" width="6.8515625" style="0" bestFit="1" customWidth="1"/>
    <col min="7" max="7" width="7.140625" style="0" bestFit="1" customWidth="1"/>
    <col min="8" max="8" width="12.00390625" style="0" bestFit="1" customWidth="1"/>
    <col min="9" max="9" width="10.8515625" style="0" customWidth="1"/>
    <col min="10" max="10" width="11.7109375" style="0" customWidth="1"/>
    <col min="11" max="11" width="12.57421875" style="0" customWidth="1"/>
    <col min="12" max="12" width="11.8515625" style="0" customWidth="1"/>
  </cols>
  <sheetData>
    <row r="1" spans="2:12" ht="35.25" thickBot="1">
      <c r="B1" s="90" t="s">
        <v>87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9" ht="13.5" thickBot="1">
      <c r="B2" s="91" t="s">
        <v>72</v>
      </c>
      <c r="C2" s="92"/>
      <c r="D2" s="93"/>
      <c r="F2" s="82" t="s">
        <v>81</v>
      </c>
      <c r="G2" s="83"/>
      <c r="H2" s="70" t="s">
        <v>88</v>
      </c>
      <c r="I2" s="69" t="s">
        <v>97</v>
      </c>
    </row>
    <row r="3" spans="2:9" ht="13.5" thickBot="1">
      <c r="B3" s="11" t="s">
        <v>43</v>
      </c>
      <c r="C3" s="15">
        <v>19</v>
      </c>
      <c r="D3" s="16" t="s">
        <v>38</v>
      </c>
      <c r="F3" s="84" t="s">
        <v>89</v>
      </c>
      <c r="G3" s="85"/>
      <c r="H3" s="71">
        <v>38692</v>
      </c>
      <c r="I3" s="45">
        <f>IF(I6="","",(I5-I6)/7.69230769)</f>
        <v>6.2400000018720005</v>
      </c>
    </row>
    <row r="4" spans="2:4" ht="13.5" thickBot="1">
      <c r="B4" s="9" t="s">
        <v>41</v>
      </c>
      <c r="C4" s="14">
        <v>2.75</v>
      </c>
      <c r="D4" s="12" t="s">
        <v>42</v>
      </c>
    </row>
    <row r="5" spans="2:10" ht="12.75">
      <c r="B5" s="9" t="s">
        <v>50</v>
      </c>
      <c r="C5" s="14">
        <v>4</v>
      </c>
      <c r="D5" s="12" t="s">
        <v>42</v>
      </c>
      <c r="F5" s="103" t="s">
        <v>91</v>
      </c>
      <c r="G5" s="104"/>
      <c r="H5" s="104"/>
      <c r="I5" s="64">
        <v>1058</v>
      </c>
      <c r="J5" s="65">
        <v>38692</v>
      </c>
    </row>
    <row r="6" spans="2:10" ht="12.75">
      <c r="B6" s="9" t="s">
        <v>73</v>
      </c>
      <c r="C6" s="14">
        <v>0.83</v>
      </c>
      <c r="D6" s="12" t="s">
        <v>42</v>
      </c>
      <c r="F6" s="88" t="s">
        <v>92</v>
      </c>
      <c r="G6" s="89"/>
      <c r="H6" s="89"/>
      <c r="I6" s="63">
        <v>1010</v>
      </c>
      <c r="J6" s="66">
        <v>38699</v>
      </c>
    </row>
    <row r="7" spans="2:10" ht="13.5" thickBot="1">
      <c r="B7" s="9" t="s">
        <v>77</v>
      </c>
      <c r="C7" s="14">
        <v>2</v>
      </c>
      <c r="D7" s="12" t="s">
        <v>38</v>
      </c>
      <c r="F7" s="80" t="s">
        <v>93</v>
      </c>
      <c r="G7" s="81"/>
      <c r="H7" s="81"/>
      <c r="I7" s="67" t="s">
        <v>98</v>
      </c>
      <c r="J7" s="68"/>
    </row>
    <row r="8" spans="2:4" ht="13.5" thickBot="1">
      <c r="B8" s="9" t="s">
        <v>78</v>
      </c>
      <c r="C8" s="14">
        <v>2</v>
      </c>
      <c r="D8" s="12" t="s">
        <v>38</v>
      </c>
    </row>
    <row r="9" spans="2:9" ht="13.5" thickBot="1">
      <c r="B9" s="9" t="s">
        <v>44</v>
      </c>
      <c r="C9" s="14">
        <v>5</v>
      </c>
      <c r="D9" s="12" t="s">
        <v>45</v>
      </c>
      <c r="F9" s="77" t="s">
        <v>63</v>
      </c>
      <c r="G9" s="78"/>
      <c r="H9" s="78"/>
      <c r="I9" s="79"/>
    </row>
    <row r="10" spans="2:9" ht="12.75">
      <c r="B10" s="9" t="s">
        <v>57</v>
      </c>
      <c r="C10" s="14">
        <v>60</v>
      </c>
      <c r="D10" s="12" t="s">
        <v>58</v>
      </c>
      <c r="F10" s="86" t="s">
        <v>73</v>
      </c>
      <c r="G10" s="87"/>
      <c r="H10" s="43">
        <f>(I23-(I28+Mash_tun_loss))/Grain_Bill</f>
        <v>0.8211143695014661</v>
      </c>
      <c r="I10" s="44" t="s">
        <v>42</v>
      </c>
    </row>
    <row r="11" spans="2:9" ht="12.75">
      <c r="B11" s="9" t="s">
        <v>46</v>
      </c>
      <c r="C11" s="14">
        <v>5</v>
      </c>
      <c r="D11" s="12" t="s">
        <v>38</v>
      </c>
      <c r="F11" s="73" t="s">
        <v>44</v>
      </c>
      <c r="G11" s="74"/>
      <c r="H11" s="23">
        <f>((I32+I33)-(I34+Kettle_Loss))/Boil_Time*60</f>
        <v>5.100000000000001</v>
      </c>
      <c r="I11" s="25" t="s">
        <v>64</v>
      </c>
    </row>
    <row r="12" spans="2:9" ht="12.75">
      <c r="B12" s="9" t="s">
        <v>59</v>
      </c>
      <c r="C12" s="20">
        <f>Kettle_Loss+((Boil_Loss/60)*Boil_Time)</f>
        <v>10</v>
      </c>
      <c r="D12" s="12" t="s">
        <v>38</v>
      </c>
      <c r="F12" s="73" t="s">
        <v>80</v>
      </c>
      <c r="G12" s="74"/>
      <c r="H12" s="24">
        <f>I29-I31</f>
        <v>2.8999999999999986</v>
      </c>
      <c r="I12" s="25" t="s">
        <v>38</v>
      </c>
    </row>
    <row r="13" spans="2:9" ht="13.5" thickBot="1">
      <c r="B13" s="10" t="s">
        <v>55</v>
      </c>
      <c r="C13" s="17">
        <v>2</v>
      </c>
      <c r="D13" s="18" t="s">
        <v>38</v>
      </c>
      <c r="F13" s="75" t="s">
        <v>55</v>
      </c>
      <c r="G13" s="76"/>
      <c r="H13" s="26" t="str">
        <f>IF(I35="","?",I34-I35)</f>
        <v>?</v>
      </c>
      <c r="I13" s="42" t="s">
        <v>38</v>
      </c>
    </row>
    <row r="14" ht="13.5" thickBot="1"/>
    <row r="15" spans="2:12" s="13" customFormat="1" ht="26.25" thickBot="1">
      <c r="B15" s="59" t="s">
        <v>40</v>
      </c>
      <c r="C15" s="55" t="s">
        <v>48</v>
      </c>
      <c r="D15" s="47" t="s">
        <v>74</v>
      </c>
      <c r="E15" s="47" t="s">
        <v>49</v>
      </c>
      <c r="F15" s="47" t="s">
        <v>51</v>
      </c>
      <c r="G15" s="47" t="s">
        <v>79</v>
      </c>
      <c r="H15" s="47" t="s">
        <v>60</v>
      </c>
      <c r="I15" s="47" t="s">
        <v>56</v>
      </c>
      <c r="J15" s="47" t="s">
        <v>52</v>
      </c>
      <c r="K15" s="47" t="s">
        <v>53</v>
      </c>
      <c r="L15" s="48" t="s">
        <v>54</v>
      </c>
    </row>
    <row r="16" spans="2:12" ht="13.5" thickBot="1">
      <c r="B16" s="60">
        <v>5.115</v>
      </c>
      <c r="C16" s="56">
        <f>Grain_Bill*Mash_Ratio</f>
        <v>14.06625</v>
      </c>
      <c r="D16" s="49">
        <f>(Grain_Bill*Absorbtion)+Mash_tun_loss</f>
        <v>6.24545</v>
      </c>
      <c r="E16" s="49">
        <f>C16-D16</f>
        <v>7.8208</v>
      </c>
      <c r="F16" s="49">
        <f>Grain_Bill*Sparge_Ratio</f>
        <v>20.46</v>
      </c>
      <c r="G16" s="49">
        <f>Sparge_Water-Sparge_loss</f>
        <v>18.46</v>
      </c>
      <c r="H16" s="49">
        <f>_1st_Run_Off+_2nd_Run_Off</f>
        <v>26.2808</v>
      </c>
      <c r="I16" s="49">
        <f>IF(Pre_boil&lt;Batch_Size+Post_boil_Loss,(Batch_Size+Post_boil_Loss)-Pre_boil,"0")</f>
        <v>2.7192000000000007</v>
      </c>
      <c r="J16" s="49">
        <f>Pre_boil-(Post_boil_Loss-Kettle_Loss)+Water_to_add_to_boil</f>
        <v>24</v>
      </c>
      <c r="K16" s="49">
        <f>J16-Kettle_Loss</f>
        <v>19</v>
      </c>
      <c r="L16" s="50">
        <f>K16-C13</f>
        <v>17</v>
      </c>
    </row>
    <row r="17" spans="2:12" ht="12" customHeight="1">
      <c r="B17" s="61" t="s">
        <v>96</v>
      </c>
      <c r="C17" s="57">
        <f>Mash_Water*0.219969157</f>
        <v>3.09414115465125</v>
      </c>
      <c r="D17" s="51">
        <f>Absorbtion___Mash_tun_loss*0.219969157</f>
        <v>1.3738063715856499</v>
      </c>
      <c r="E17" s="51">
        <f>_1st_Run_Off*0.219969157</f>
        <v>1.7203347830656</v>
      </c>
      <c r="F17" s="51">
        <f>Sparge_Water*0.219969157</f>
        <v>4.50056895222</v>
      </c>
      <c r="G17" s="51">
        <f>_2nd_Run_Off*0.219969157</f>
        <v>4.06063063822</v>
      </c>
      <c r="H17" s="51">
        <f>Pre_boil*0.219969157</f>
        <v>5.780965421285599</v>
      </c>
      <c r="I17" s="51">
        <f>Water_to_add_to_boil*0.219969157</f>
        <v>0.5981401317144002</v>
      </c>
      <c r="J17" s="51">
        <f>J16*0.219969157</f>
        <v>5.279259768</v>
      </c>
      <c r="K17" s="51">
        <f>K16*0.219969157</f>
        <v>4.179413983</v>
      </c>
      <c r="L17" s="52">
        <f>L16*0.219969157</f>
        <v>3.739475669</v>
      </c>
    </row>
    <row r="18" spans="2:12" ht="12" customHeight="1" thickBot="1">
      <c r="B18" s="62" t="s">
        <v>95</v>
      </c>
      <c r="C18" s="58">
        <f>Mash_Water*0.264172051</f>
        <v>3.7159101123787504</v>
      </c>
      <c r="D18" s="53">
        <f>Absorbtion___Mash_tun_loss*0.264172051</f>
        <v>1.64987333591795</v>
      </c>
      <c r="E18" s="53">
        <f>_1st_Run_Off*0.264172051</f>
        <v>2.0660367764608</v>
      </c>
      <c r="F18" s="53">
        <f>Sparge_Water*0.264172051</f>
        <v>5.40496016346</v>
      </c>
      <c r="G18" s="53">
        <f>_2nd_Run_Off*0.264172051</f>
        <v>4.876616061460001</v>
      </c>
      <c r="H18" s="53">
        <f>Pre_boil*0.264172051</f>
        <v>6.9426528379208</v>
      </c>
      <c r="I18" s="53">
        <f>Water_to_add_to_boil*0.264172051</f>
        <v>0.7183366410792003</v>
      </c>
      <c r="J18" s="53">
        <f>J16*0.264172051</f>
        <v>6.340129224</v>
      </c>
      <c r="K18" s="53">
        <f>K16*0.264172051</f>
        <v>5.0192689690000005</v>
      </c>
      <c r="L18" s="54">
        <f>L16*0.264172051</f>
        <v>4.490924867</v>
      </c>
    </row>
    <row r="19" spans="2:12" ht="12.75">
      <c r="B19" s="4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2:12" ht="13.5" thickBot="1">
      <c r="B20" s="4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9" ht="13.5" thickBot="1">
      <c r="B21" s="94" t="s">
        <v>71</v>
      </c>
      <c r="C21" s="94"/>
      <c r="D21" s="94"/>
      <c r="E21" s="94"/>
      <c r="G21" s="91" t="s">
        <v>90</v>
      </c>
      <c r="H21" s="92"/>
      <c r="I21" s="93"/>
    </row>
    <row r="22" spans="2:9" ht="12.75">
      <c r="B22" s="3" t="s">
        <v>65</v>
      </c>
      <c r="G22" s="5"/>
      <c r="H22" s="8"/>
      <c r="I22" s="6"/>
    </row>
    <row r="23" spans="2:9" ht="12.75">
      <c r="B23" s="3" t="s">
        <v>47</v>
      </c>
      <c r="C23" s="21">
        <f>Mash_Water</f>
        <v>14.06625</v>
      </c>
      <c r="D23" t="s">
        <v>66</v>
      </c>
      <c r="G23" s="5" t="s">
        <v>48</v>
      </c>
      <c r="H23" s="19"/>
      <c r="I23" s="38">
        <v>15</v>
      </c>
    </row>
    <row r="24" spans="2:9" ht="12.75">
      <c r="B24" s="3" t="s">
        <v>19</v>
      </c>
      <c r="G24" s="5"/>
      <c r="H24" s="8"/>
      <c r="I24" s="6"/>
    </row>
    <row r="25" spans="2:9" ht="12.75">
      <c r="B25" s="3" t="s">
        <v>20</v>
      </c>
      <c r="G25" s="5"/>
      <c r="H25" s="8"/>
      <c r="I25" s="6"/>
    </row>
    <row r="26" spans="2:9" ht="12.75">
      <c r="B26" s="3" t="s">
        <v>21</v>
      </c>
      <c r="G26" s="5"/>
      <c r="H26" s="8"/>
      <c r="I26" s="6"/>
    </row>
    <row r="27" spans="2:9" ht="12.75">
      <c r="B27" s="3" t="s">
        <v>22</v>
      </c>
      <c r="G27" s="5"/>
      <c r="H27" s="8"/>
      <c r="I27" s="6"/>
    </row>
    <row r="28" spans="2:9" ht="12.75">
      <c r="B28" s="3" t="s">
        <v>39</v>
      </c>
      <c r="D28" s="21">
        <f>_1st_Run_Off</f>
        <v>7.8208</v>
      </c>
      <c r="E28" t="s">
        <v>66</v>
      </c>
      <c r="G28" s="5" t="s">
        <v>75</v>
      </c>
      <c r="H28" s="8"/>
      <c r="I28" s="38">
        <v>8.8</v>
      </c>
    </row>
    <row r="29" spans="2:9" ht="12.75">
      <c r="B29" s="3" t="s">
        <v>67</v>
      </c>
      <c r="C29" s="21">
        <f>Sparge_Water</f>
        <v>20.46</v>
      </c>
      <c r="D29" t="s">
        <v>68</v>
      </c>
      <c r="G29" s="39" t="s">
        <v>76</v>
      </c>
      <c r="H29" s="8"/>
      <c r="I29" s="38">
        <v>20.2</v>
      </c>
    </row>
    <row r="30" spans="2:9" ht="12.75">
      <c r="B30" s="3" t="s">
        <v>69</v>
      </c>
      <c r="G30" s="5"/>
      <c r="H30" s="8"/>
      <c r="I30" s="6"/>
    </row>
    <row r="31" spans="2:9" ht="12.75">
      <c r="B31" s="3" t="s">
        <v>84</v>
      </c>
      <c r="D31" s="21">
        <f>C29</f>
        <v>20.46</v>
      </c>
      <c r="G31" s="5" t="s">
        <v>61</v>
      </c>
      <c r="H31" s="8"/>
      <c r="I31" s="38">
        <v>17.3</v>
      </c>
    </row>
    <row r="32" spans="2:9" ht="12.75">
      <c r="B32" s="3" t="s">
        <v>83</v>
      </c>
      <c r="D32" s="22">
        <f>Pre_boil</f>
        <v>26.2808</v>
      </c>
      <c r="G32" s="40" t="s">
        <v>70</v>
      </c>
      <c r="H32" s="8"/>
      <c r="I32" s="41">
        <f>I28+I31</f>
        <v>26.1</v>
      </c>
    </row>
    <row r="33" spans="2:9" ht="12.75">
      <c r="B33" s="3" t="s">
        <v>56</v>
      </c>
      <c r="D33" s="21">
        <f>Water_to_add_to_boil</f>
        <v>2.7192000000000007</v>
      </c>
      <c r="G33" s="5" t="s">
        <v>62</v>
      </c>
      <c r="H33" s="8"/>
      <c r="I33" s="38">
        <v>0</v>
      </c>
    </row>
    <row r="34" spans="2:9" ht="12.75">
      <c r="B34" s="3" t="s">
        <v>23</v>
      </c>
      <c r="G34" s="5" t="s">
        <v>85</v>
      </c>
      <c r="H34" s="8"/>
      <c r="I34" s="38">
        <v>16</v>
      </c>
    </row>
    <row r="35" spans="2:9" ht="12.75">
      <c r="B35" s="3" t="s">
        <v>24</v>
      </c>
      <c r="G35" s="5" t="s">
        <v>86</v>
      </c>
      <c r="H35" s="8"/>
      <c r="I35" s="38"/>
    </row>
    <row r="36" spans="2:9" ht="12.75">
      <c r="B36" s="3" t="s">
        <v>25</v>
      </c>
      <c r="G36" s="1"/>
      <c r="H36" s="2"/>
      <c r="I36" s="7"/>
    </row>
    <row r="37" ht="12.75">
      <c r="B37" s="3" t="s">
        <v>26</v>
      </c>
    </row>
    <row r="38" spans="2:11" ht="12.75">
      <c r="B38" s="3" t="s">
        <v>27</v>
      </c>
      <c r="H38" s="102" t="s">
        <v>81</v>
      </c>
      <c r="I38" s="102"/>
      <c r="J38" s="102"/>
      <c r="K38" s="102"/>
    </row>
    <row r="39" spans="2:11" ht="13.5" thickBot="1">
      <c r="B39" s="3" t="s">
        <v>28</v>
      </c>
      <c r="H39" s="27"/>
      <c r="I39" s="27"/>
      <c r="J39" s="27"/>
      <c r="K39" s="27"/>
    </row>
    <row r="40" spans="2:11" ht="13.5" thickBot="1">
      <c r="B40" s="3" t="s">
        <v>29</v>
      </c>
      <c r="H40" s="98" t="s">
        <v>94</v>
      </c>
      <c r="I40" s="99"/>
      <c r="J40" s="27"/>
      <c r="K40" s="27"/>
    </row>
    <row r="41" spans="2:11" ht="12.75">
      <c r="B41" s="3" t="s">
        <v>30</v>
      </c>
      <c r="H41" s="28" t="s">
        <v>0</v>
      </c>
      <c r="I41" s="35">
        <v>4.9</v>
      </c>
      <c r="J41" s="27"/>
      <c r="K41" s="27"/>
    </row>
    <row r="42" spans="8:11" ht="12.75">
      <c r="H42" s="28" t="s">
        <v>1</v>
      </c>
      <c r="I42" s="35">
        <v>0.03</v>
      </c>
      <c r="J42" s="27"/>
      <c r="K42" s="27"/>
    </row>
    <row r="43" spans="2:11" ht="12.75">
      <c r="B43" s="3" t="s">
        <v>31</v>
      </c>
      <c r="H43" s="28" t="s">
        <v>2</v>
      </c>
      <c r="I43" s="35">
        <v>0.015</v>
      </c>
      <c r="J43" s="27"/>
      <c r="K43" s="27"/>
    </row>
    <row r="44" spans="2:11" ht="13.5" thickBot="1">
      <c r="B44" s="3" t="s">
        <v>32</v>
      </c>
      <c r="H44" s="29" t="s">
        <v>3</v>
      </c>
      <c r="I44" s="36">
        <v>0.17</v>
      </c>
      <c r="J44" s="27"/>
      <c r="K44" s="27"/>
    </row>
    <row r="45" spans="2:11" ht="13.5" thickBot="1">
      <c r="B45" s="3" t="s">
        <v>37</v>
      </c>
      <c r="H45" s="27"/>
      <c r="I45" s="27"/>
      <c r="J45" s="27"/>
      <c r="K45" s="27"/>
    </row>
    <row r="46" spans="2:11" ht="13.5" thickBot="1">
      <c r="B46" s="3" t="s">
        <v>33</v>
      </c>
      <c r="H46" s="30" t="s">
        <v>4</v>
      </c>
      <c r="I46" s="37">
        <f>SUM(I41:I45)</f>
        <v>5.115</v>
      </c>
      <c r="J46" s="27"/>
      <c r="K46" s="27"/>
    </row>
    <row r="47" spans="2:11" ht="13.5" thickBot="1">
      <c r="B47" s="3" t="s">
        <v>34</v>
      </c>
      <c r="H47" s="27"/>
      <c r="I47" s="27"/>
      <c r="J47" s="27"/>
      <c r="K47" s="27"/>
    </row>
    <row r="48" spans="2:11" ht="12.75">
      <c r="B48" s="3" t="s">
        <v>35</v>
      </c>
      <c r="H48" s="100" t="s">
        <v>5</v>
      </c>
      <c r="I48" s="101"/>
      <c r="J48" s="100" t="s">
        <v>11</v>
      </c>
      <c r="K48" s="101"/>
    </row>
    <row r="49" spans="2:11" ht="12.75">
      <c r="B49" s="3" t="s">
        <v>36</v>
      </c>
      <c r="H49" s="31" t="s">
        <v>6</v>
      </c>
      <c r="I49" s="32" t="s">
        <v>9</v>
      </c>
      <c r="J49" s="31" t="s">
        <v>14</v>
      </c>
      <c r="K49" s="32" t="s">
        <v>15</v>
      </c>
    </row>
    <row r="50" spans="8:11" ht="12.75">
      <c r="H50" s="28" t="s">
        <v>7</v>
      </c>
      <c r="I50" s="33" t="s">
        <v>10</v>
      </c>
      <c r="J50" s="28" t="s">
        <v>16</v>
      </c>
      <c r="K50" s="33">
        <v>1059</v>
      </c>
    </row>
    <row r="51" spans="8:11" ht="12.75">
      <c r="H51" s="28" t="s">
        <v>8</v>
      </c>
      <c r="I51" s="33" t="s">
        <v>10</v>
      </c>
      <c r="J51" s="28" t="s">
        <v>17</v>
      </c>
      <c r="K51" s="33">
        <v>17.5</v>
      </c>
    </row>
    <row r="52" spans="8:11" ht="13.5" thickBot="1">
      <c r="H52" s="29" t="s">
        <v>12</v>
      </c>
      <c r="I52" s="34" t="s">
        <v>13</v>
      </c>
      <c r="J52" s="29" t="s">
        <v>18</v>
      </c>
      <c r="K52" s="34">
        <v>28</v>
      </c>
    </row>
    <row r="57" spans="2:12" ht="12.75">
      <c r="B57" s="95" t="s">
        <v>82</v>
      </c>
      <c r="C57" s="96"/>
      <c r="D57" s="96"/>
      <c r="E57" s="96"/>
      <c r="F57" s="96"/>
      <c r="G57" s="96"/>
      <c r="H57" s="96"/>
      <c r="I57" s="96"/>
      <c r="J57" s="96"/>
      <c r="K57" s="96"/>
      <c r="L57" s="97"/>
    </row>
    <row r="58" spans="2:12" ht="12.75">
      <c r="B58" s="5"/>
      <c r="C58" s="8"/>
      <c r="D58" s="8"/>
      <c r="E58" s="8"/>
      <c r="F58" s="8"/>
      <c r="G58" s="8"/>
      <c r="H58" s="8"/>
      <c r="I58" s="8"/>
      <c r="J58" s="8"/>
      <c r="K58" s="8"/>
      <c r="L58" s="6"/>
    </row>
    <row r="59" spans="2:12" ht="12.75">
      <c r="B59" s="5"/>
      <c r="C59" s="8"/>
      <c r="D59" s="8"/>
      <c r="E59" s="8"/>
      <c r="F59" s="8"/>
      <c r="G59" s="8"/>
      <c r="H59" s="8"/>
      <c r="I59" s="8"/>
      <c r="J59" s="8"/>
      <c r="K59" s="8"/>
      <c r="L59" s="6"/>
    </row>
    <row r="60" spans="2:12" ht="12.75">
      <c r="B60" s="5"/>
      <c r="C60" s="8"/>
      <c r="D60" s="8"/>
      <c r="E60" s="8"/>
      <c r="F60" s="8"/>
      <c r="G60" s="8"/>
      <c r="H60" s="8"/>
      <c r="I60" s="8"/>
      <c r="J60" s="8"/>
      <c r="K60" s="8"/>
      <c r="L60" s="6"/>
    </row>
    <row r="61" spans="2:12" ht="12.75">
      <c r="B61" s="5"/>
      <c r="C61" s="8"/>
      <c r="D61" s="8"/>
      <c r="E61" s="8"/>
      <c r="F61" s="8"/>
      <c r="G61" s="8"/>
      <c r="H61" s="8"/>
      <c r="I61" s="8"/>
      <c r="J61" s="8"/>
      <c r="K61" s="8"/>
      <c r="L61" s="6"/>
    </row>
    <row r="62" spans="2:12" ht="12.75">
      <c r="B62" s="5"/>
      <c r="C62" s="8"/>
      <c r="D62" s="8"/>
      <c r="E62" s="8"/>
      <c r="F62" s="8"/>
      <c r="G62" s="8"/>
      <c r="H62" s="8"/>
      <c r="I62" s="8"/>
      <c r="J62" s="8"/>
      <c r="K62" s="8"/>
      <c r="L62" s="6"/>
    </row>
    <row r="63" spans="2:12" ht="12.75">
      <c r="B63" s="5"/>
      <c r="C63" s="8"/>
      <c r="D63" s="8"/>
      <c r="E63" s="8"/>
      <c r="F63" s="8"/>
      <c r="G63" s="8"/>
      <c r="H63" s="8"/>
      <c r="I63" s="8"/>
      <c r="J63" s="8"/>
      <c r="K63" s="8"/>
      <c r="L63" s="6"/>
    </row>
    <row r="64" spans="2:12" ht="12.75">
      <c r="B64" s="5"/>
      <c r="C64" s="8"/>
      <c r="D64" s="8"/>
      <c r="E64" s="8"/>
      <c r="F64" s="8"/>
      <c r="G64" s="8"/>
      <c r="H64" s="8"/>
      <c r="I64" s="8"/>
      <c r="J64" s="8"/>
      <c r="K64" s="8"/>
      <c r="L64" s="6"/>
    </row>
    <row r="65" spans="2:12" ht="12.75">
      <c r="B65" s="5"/>
      <c r="C65" s="8"/>
      <c r="D65" s="8"/>
      <c r="E65" s="8"/>
      <c r="F65" s="8"/>
      <c r="G65" s="8"/>
      <c r="H65" s="8"/>
      <c r="I65" s="8"/>
      <c r="J65" s="8"/>
      <c r="K65" s="8"/>
      <c r="L65" s="6"/>
    </row>
    <row r="66" spans="2:12" ht="12.75">
      <c r="B66" s="5"/>
      <c r="C66" s="8"/>
      <c r="D66" s="8"/>
      <c r="E66" s="8"/>
      <c r="F66" s="8"/>
      <c r="G66" s="8"/>
      <c r="H66" s="8"/>
      <c r="I66" s="8"/>
      <c r="J66" s="8"/>
      <c r="K66" s="8"/>
      <c r="L66" s="6"/>
    </row>
    <row r="67" spans="2:12" ht="12.75">
      <c r="B67" s="5"/>
      <c r="C67" s="8"/>
      <c r="D67" s="8"/>
      <c r="E67" s="8"/>
      <c r="F67" s="8"/>
      <c r="G67" s="8"/>
      <c r="H67" s="8"/>
      <c r="I67" s="8"/>
      <c r="J67" s="8"/>
      <c r="K67" s="8"/>
      <c r="L67" s="6"/>
    </row>
    <row r="68" spans="2:12" ht="12.75">
      <c r="B68" s="5"/>
      <c r="C68" s="8"/>
      <c r="D68" s="8"/>
      <c r="E68" s="8"/>
      <c r="F68" s="8"/>
      <c r="G68" s="8"/>
      <c r="H68" s="8"/>
      <c r="I68" s="8"/>
      <c r="J68" s="8"/>
      <c r="K68" s="8"/>
      <c r="L68" s="6"/>
    </row>
    <row r="69" spans="2:12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7"/>
    </row>
    <row r="109" ht="12.75">
      <c r="C109">
        <v>0</v>
      </c>
    </row>
  </sheetData>
  <mergeCells count="19">
    <mergeCell ref="B1:L1"/>
    <mergeCell ref="B2:D2"/>
    <mergeCell ref="B21:E21"/>
    <mergeCell ref="B57:L57"/>
    <mergeCell ref="G21:I21"/>
    <mergeCell ref="H40:I40"/>
    <mergeCell ref="H48:I48"/>
    <mergeCell ref="J48:K48"/>
    <mergeCell ref="H38:K38"/>
    <mergeCell ref="F5:H5"/>
    <mergeCell ref="F7:H7"/>
    <mergeCell ref="F2:G2"/>
    <mergeCell ref="F3:G3"/>
    <mergeCell ref="F10:G10"/>
    <mergeCell ref="F6:H6"/>
    <mergeCell ref="F11:G11"/>
    <mergeCell ref="F12:G12"/>
    <mergeCell ref="F13:G13"/>
    <mergeCell ref="F9:I9"/>
  </mergeCells>
  <printOptions/>
  <pageMargins left="0.37" right="0.5" top="0.49" bottom="0.49" header="0.5" footer="0.5"/>
  <pageSetup fitToHeight="0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9"/>
  <sheetViews>
    <sheetView tabSelected="1" workbookViewId="0" topLeftCell="A27">
      <selection activeCell="K28" sqref="K28"/>
    </sheetView>
  </sheetViews>
  <sheetFormatPr defaultColWidth="9.140625" defaultRowHeight="12.75"/>
  <cols>
    <col min="1" max="1" width="1.57421875" style="0" customWidth="1"/>
    <col min="2" max="2" width="12.140625" style="0" customWidth="1"/>
    <col min="3" max="3" width="12.00390625" style="0" customWidth="1"/>
    <col min="4" max="4" width="10.57421875" style="0" customWidth="1"/>
    <col min="5" max="5" width="8.140625" style="0" customWidth="1"/>
    <col min="6" max="6" width="6.8515625" style="0" bestFit="1" customWidth="1"/>
    <col min="7" max="7" width="7.140625" style="0" bestFit="1" customWidth="1"/>
    <col min="8" max="8" width="12.00390625" style="0" bestFit="1" customWidth="1"/>
    <col min="9" max="9" width="10.8515625" style="0" customWidth="1"/>
    <col min="10" max="10" width="11.7109375" style="0" customWidth="1"/>
    <col min="11" max="11" width="12.57421875" style="0" customWidth="1"/>
    <col min="12" max="12" width="11.8515625" style="0" customWidth="1"/>
  </cols>
  <sheetData>
    <row r="1" spans="2:12" ht="35.25" thickBot="1">
      <c r="B1" s="90" t="s">
        <v>87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9" ht="13.5" thickBot="1">
      <c r="B2" s="91" t="s">
        <v>72</v>
      </c>
      <c r="C2" s="92"/>
      <c r="D2" s="93"/>
      <c r="F2" s="82" t="s">
        <v>81</v>
      </c>
      <c r="G2" s="83"/>
      <c r="H2" s="70" t="s">
        <v>88</v>
      </c>
      <c r="I2" s="69" t="s">
        <v>97</v>
      </c>
    </row>
    <row r="3" spans="2:9" ht="13.5" thickBot="1">
      <c r="B3" s="11" t="s">
        <v>43</v>
      </c>
      <c r="C3" s="15">
        <v>23</v>
      </c>
      <c r="D3" s="16" t="s">
        <v>38</v>
      </c>
      <c r="F3" s="84" t="s">
        <v>89</v>
      </c>
      <c r="G3" s="85"/>
      <c r="H3" s="71">
        <v>38728</v>
      </c>
      <c r="I3" s="45">
        <f>IF(I6="","",(I5-I6)/7.69230769)</f>
      </c>
    </row>
    <row r="4" spans="2:4" ht="13.5" thickBot="1">
      <c r="B4" s="9" t="s">
        <v>41</v>
      </c>
      <c r="C4" s="14">
        <v>2.75</v>
      </c>
      <c r="D4" s="12" t="s">
        <v>42</v>
      </c>
    </row>
    <row r="5" spans="2:10" ht="12.75">
      <c r="B5" s="9" t="s">
        <v>50</v>
      </c>
      <c r="C5" s="14">
        <v>4</v>
      </c>
      <c r="D5" s="12" t="s">
        <v>42</v>
      </c>
      <c r="F5" s="103" t="s">
        <v>91</v>
      </c>
      <c r="G5" s="104"/>
      <c r="H5" s="104"/>
      <c r="I5" s="64"/>
      <c r="J5" s="65">
        <v>38692</v>
      </c>
    </row>
    <row r="6" spans="2:10" ht="12.75">
      <c r="B6" s="9" t="s">
        <v>73</v>
      </c>
      <c r="C6" s="14">
        <v>0.82</v>
      </c>
      <c r="D6" s="12" t="s">
        <v>42</v>
      </c>
      <c r="F6" s="88" t="s">
        <v>92</v>
      </c>
      <c r="G6" s="89"/>
      <c r="H6" s="89"/>
      <c r="I6" s="63"/>
      <c r="J6" s="66">
        <v>38699</v>
      </c>
    </row>
    <row r="7" spans="2:10" ht="13.5" thickBot="1">
      <c r="B7" s="9" t="s">
        <v>77</v>
      </c>
      <c r="C7" s="14">
        <v>2</v>
      </c>
      <c r="D7" s="12" t="s">
        <v>38</v>
      </c>
      <c r="F7" s="80" t="s">
        <v>93</v>
      </c>
      <c r="G7" s="81"/>
      <c r="H7" s="81"/>
      <c r="I7" s="67" t="s">
        <v>98</v>
      </c>
      <c r="J7" s="68"/>
    </row>
    <row r="8" spans="2:4" ht="13.5" thickBot="1">
      <c r="B8" s="9" t="s">
        <v>78</v>
      </c>
      <c r="C8" s="14">
        <v>2.9</v>
      </c>
      <c r="D8" s="12" t="s">
        <v>38</v>
      </c>
    </row>
    <row r="9" spans="2:9" ht="13.5" thickBot="1">
      <c r="B9" s="9" t="s">
        <v>44</v>
      </c>
      <c r="C9" s="14">
        <v>5.1</v>
      </c>
      <c r="D9" s="12" t="s">
        <v>45</v>
      </c>
      <c r="F9" s="77" t="s">
        <v>63</v>
      </c>
      <c r="G9" s="78"/>
      <c r="H9" s="78"/>
      <c r="I9" s="79"/>
    </row>
    <row r="10" spans="2:9" ht="12.75">
      <c r="B10" s="9" t="s">
        <v>57</v>
      </c>
      <c r="C10" s="14">
        <v>60</v>
      </c>
      <c r="D10" s="12" t="s">
        <v>58</v>
      </c>
      <c r="F10" s="86" t="s">
        <v>73</v>
      </c>
      <c r="G10" s="87"/>
      <c r="H10" s="43">
        <f>(I23-(I28+Mash_tun_loss))/Grain_Bill</f>
        <v>-0.39100684261974583</v>
      </c>
      <c r="I10" s="44" t="s">
        <v>42</v>
      </c>
    </row>
    <row r="11" spans="2:9" ht="12.75">
      <c r="B11" s="9" t="s">
        <v>46</v>
      </c>
      <c r="C11" s="14">
        <v>5</v>
      </c>
      <c r="D11" s="12" t="s">
        <v>38</v>
      </c>
      <c r="F11" s="73" t="s">
        <v>44</v>
      </c>
      <c r="G11" s="74"/>
      <c r="H11" s="23">
        <f>((I32+I33)-(I34+Kettle_Loss))/Boil_Time*60</f>
        <v>-5</v>
      </c>
      <c r="I11" s="25" t="s">
        <v>64</v>
      </c>
    </row>
    <row r="12" spans="2:9" ht="12.75">
      <c r="B12" s="9" t="s">
        <v>59</v>
      </c>
      <c r="C12" s="20">
        <f>Kettle_Loss+((Boil_Loss/60)*Boil_Time)</f>
        <v>10.1</v>
      </c>
      <c r="D12" s="12" t="s">
        <v>38</v>
      </c>
      <c r="F12" s="73" t="s">
        <v>80</v>
      </c>
      <c r="G12" s="74"/>
      <c r="H12" s="24">
        <f>I29-I31</f>
        <v>0</v>
      </c>
      <c r="I12" s="25" t="s">
        <v>38</v>
      </c>
    </row>
    <row r="13" spans="2:9" ht="13.5" thickBot="1">
      <c r="B13" s="10" t="s">
        <v>55</v>
      </c>
      <c r="C13" s="17">
        <v>2</v>
      </c>
      <c r="D13" s="18" t="s">
        <v>38</v>
      </c>
      <c r="F13" s="75" t="s">
        <v>55</v>
      </c>
      <c r="G13" s="76"/>
      <c r="H13" s="26" t="str">
        <f>IF(I35="","?",I34-I35)</f>
        <v>?</v>
      </c>
      <c r="I13" s="42" t="s">
        <v>38</v>
      </c>
    </row>
    <row r="14" ht="13.5" thickBot="1"/>
    <row r="15" spans="2:12" s="13" customFormat="1" ht="26.25" thickBot="1">
      <c r="B15" s="59" t="s">
        <v>40</v>
      </c>
      <c r="C15" s="55" t="s">
        <v>48</v>
      </c>
      <c r="D15" s="47" t="s">
        <v>74</v>
      </c>
      <c r="E15" s="47" t="s">
        <v>49</v>
      </c>
      <c r="F15" s="47" t="s">
        <v>51</v>
      </c>
      <c r="G15" s="47" t="s">
        <v>79</v>
      </c>
      <c r="H15" s="47" t="s">
        <v>60</v>
      </c>
      <c r="I15" s="47" t="s">
        <v>56</v>
      </c>
      <c r="J15" s="47" t="s">
        <v>52</v>
      </c>
      <c r="K15" s="47" t="s">
        <v>53</v>
      </c>
      <c r="L15" s="48" t="s">
        <v>54</v>
      </c>
    </row>
    <row r="16" spans="2:12" ht="13.5" thickBot="1">
      <c r="B16" s="60">
        <v>5.115</v>
      </c>
      <c r="C16" s="56">
        <f>Grain_Bill*Mash_Ratio</f>
        <v>14.06625</v>
      </c>
      <c r="D16" s="49">
        <f>(Grain_Bill*Absorbtion)+Mash_tun_loss</f>
        <v>6.1943</v>
      </c>
      <c r="E16" s="49">
        <f>C16-D16</f>
        <v>7.87195</v>
      </c>
      <c r="F16" s="49">
        <f>Grain_Bill*Sparge_Ratio</f>
        <v>20.46</v>
      </c>
      <c r="G16" s="49">
        <f>Sparge_Water-Sparge_loss</f>
        <v>17.560000000000002</v>
      </c>
      <c r="H16" s="49">
        <f>_1st_Run_Off+_2nd_Run_Off</f>
        <v>25.43195</v>
      </c>
      <c r="I16" s="49">
        <f>IF(Pre_boil&lt;Batch_Size+Post_boil_Loss,(Batch_Size+Post_boil_Loss)-Pre_boil,"0")</f>
        <v>7.668050000000001</v>
      </c>
      <c r="J16" s="49">
        <f>Pre_boil-(Post_boil_Loss-Kettle_Loss)+Water_to_add_to_boil</f>
        <v>28</v>
      </c>
      <c r="K16" s="49">
        <f>J16-Kettle_Loss</f>
        <v>23</v>
      </c>
      <c r="L16" s="50">
        <f>K16-C13</f>
        <v>21</v>
      </c>
    </row>
    <row r="17" spans="2:12" ht="12" customHeight="1">
      <c r="B17" s="61" t="s">
        <v>96</v>
      </c>
      <c r="C17" s="57">
        <f>Mash_Water*0.219969157</f>
        <v>3.09414115465125</v>
      </c>
      <c r="D17" s="51">
        <f>Absorbtion___Mash_tun_loss*0.219969157</f>
        <v>1.3625549492051001</v>
      </c>
      <c r="E17" s="51">
        <f>_1st_Run_Off*0.219969157</f>
        <v>1.73158620544615</v>
      </c>
      <c r="F17" s="51">
        <f>Sparge_Water*0.219969157</f>
        <v>4.50056895222</v>
      </c>
      <c r="G17" s="51">
        <f>_2nd_Run_Off*0.219969157</f>
        <v>3.8626583969200006</v>
      </c>
      <c r="H17" s="51">
        <f>Pre_boil*0.219969157</f>
        <v>5.5942446023661505</v>
      </c>
      <c r="I17" s="51">
        <f>Water_to_add_to_boil*0.219969157</f>
        <v>1.6867344943338503</v>
      </c>
      <c r="J17" s="51">
        <f>J16*0.219969157</f>
        <v>6.159136396</v>
      </c>
      <c r="K17" s="51">
        <f>K16*0.219969157</f>
        <v>5.059290611</v>
      </c>
      <c r="L17" s="52">
        <f>L16*0.219969157</f>
        <v>4.619352297</v>
      </c>
    </row>
    <row r="18" spans="2:12" ht="12" customHeight="1" thickBot="1">
      <c r="B18" s="62" t="s">
        <v>95</v>
      </c>
      <c r="C18" s="58">
        <f>Mash_Water*0.264172051</f>
        <v>3.7159101123787504</v>
      </c>
      <c r="D18" s="53">
        <f>Absorbtion___Mash_tun_loss*0.264172051</f>
        <v>1.6363609355093</v>
      </c>
      <c r="E18" s="53">
        <f>_1st_Run_Off*0.264172051</f>
        <v>2.0795491768694503</v>
      </c>
      <c r="F18" s="53">
        <f>Sparge_Water*0.264172051</f>
        <v>5.40496016346</v>
      </c>
      <c r="G18" s="53">
        <f>_2nd_Run_Off*0.264172051</f>
        <v>4.638861215560001</v>
      </c>
      <c r="H18" s="53">
        <f>Pre_boil*0.264172051</f>
        <v>6.71841039242945</v>
      </c>
      <c r="I18" s="53">
        <f>Water_to_add_to_boil*0.264172051</f>
        <v>2.0256844956705504</v>
      </c>
      <c r="J18" s="53">
        <f>J16*0.264172051</f>
        <v>7.396817428</v>
      </c>
      <c r="K18" s="53">
        <f>K16*0.264172051</f>
        <v>6.075957173000001</v>
      </c>
      <c r="L18" s="54">
        <f>L16*0.264172051</f>
        <v>5.547613071000001</v>
      </c>
    </row>
    <row r="19" spans="2:12" ht="12.75">
      <c r="B19" s="4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2:12" ht="13.5" thickBot="1">
      <c r="B20" s="4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9" ht="13.5" thickBot="1">
      <c r="B21" s="94" t="s">
        <v>71</v>
      </c>
      <c r="C21" s="94"/>
      <c r="D21" s="94"/>
      <c r="E21" s="94"/>
      <c r="G21" s="91" t="s">
        <v>90</v>
      </c>
      <c r="H21" s="92"/>
      <c r="I21" s="93"/>
    </row>
    <row r="22" spans="2:9" ht="12.75">
      <c r="B22" s="3" t="s">
        <v>65</v>
      </c>
      <c r="G22" s="5"/>
      <c r="H22" s="8"/>
      <c r="I22" s="6"/>
    </row>
    <row r="23" spans="2:9" ht="12.75">
      <c r="B23" s="3" t="s">
        <v>47</v>
      </c>
      <c r="C23" s="21">
        <f>Mash_Water</f>
        <v>14.06625</v>
      </c>
      <c r="D23" t="s">
        <v>66</v>
      </c>
      <c r="G23" s="5" t="s">
        <v>48</v>
      </c>
      <c r="H23" s="19"/>
      <c r="I23" s="38"/>
    </row>
    <row r="24" spans="2:9" ht="12.75">
      <c r="B24" s="3" t="s">
        <v>19</v>
      </c>
      <c r="G24" s="5"/>
      <c r="H24" s="8"/>
      <c r="I24" s="6"/>
    </row>
    <row r="25" spans="2:9" ht="12.75">
      <c r="B25" s="3" t="s">
        <v>20</v>
      </c>
      <c r="G25" s="5"/>
      <c r="H25" s="8"/>
      <c r="I25" s="6"/>
    </row>
    <row r="26" spans="2:9" ht="12.75">
      <c r="B26" s="3" t="s">
        <v>21</v>
      </c>
      <c r="G26" s="5"/>
      <c r="H26" s="8"/>
      <c r="I26" s="6"/>
    </row>
    <row r="27" spans="2:9" ht="12.75">
      <c r="B27" s="3" t="s">
        <v>22</v>
      </c>
      <c r="G27" s="5"/>
      <c r="H27" s="8"/>
      <c r="I27" s="6"/>
    </row>
    <row r="28" spans="2:9" ht="12.75">
      <c r="B28" s="3" t="s">
        <v>39</v>
      </c>
      <c r="D28" s="21">
        <f>_1st_Run_Off</f>
        <v>7.87195</v>
      </c>
      <c r="E28" t="s">
        <v>66</v>
      </c>
      <c r="G28" s="5" t="s">
        <v>75</v>
      </c>
      <c r="H28" s="8"/>
      <c r="I28" s="38"/>
    </row>
    <row r="29" spans="2:9" ht="12.75">
      <c r="B29" s="3" t="s">
        <v>67</v>
      </c>
      <c r="C29" s="21">
        <f>Sparge_Water</f>
        <v>20.46</v>
      </c>
      <c r="D29" t="s">
        <v>68</v>
      </c>
      <c r="G29" s="39" t="s">
        <v>76</v>
      </c>
      <c r="H29" s="8"/>
      <c r="I29" s="38"/>
    </row>
    <row r="30" spans="2:9" ht="12.75">
      <c r="B30" s="3" t="s">
        <v>69</v>
      </c>
      <c r="G30" s="5"/>
      <c r="H30" s="8"/>
      <c r="I30" s="6"/>
    </row>
    <row r="31" spans="2:9" ht="12.75">
      <c r="B31" s="3" t="s">
        <v>84</v>
      </c>
      <c r="D31" s="21">
        <f>C29</f>
        <v>20.46</v>
      </c>
      <c r="G31" s="5" t="s">
        <v>61</v>
      </c>
      <c r="H31" s="8"/>
      <c r="I31" s="38"/>
    </row>
    <row r="32" spans="2:9" ht="12.75">
      <c r="B32" s="3" t="s">
        <v>83</v>
      </c>
      <c r="D32" s="22">
        <f>Pre_boil</f>
        <v>25.43195</v>
      </c>
      <c r="G32" s="40" t="s">
        <v>70</v>
      </c>
      <c r="H32" s="8"/>
      <c r="I32" s="41">
        <f>I28+I31</f>
        <v>0</v>
      </c>
    </row>
    <row r="33" spans="2:9" ht="12.75">
      <c r="B33" s="3" t="s">
        <v>56</v>
      </c>
      <c r="D33" s="21">
        <f>Water_to_add_to_boil</f>
        <v>7.668050000000001</v>
      </c>
      <c r="G33" s="5" t="s">
        <v>62</v>
      </c>
      <c r="H33" s="8"/>
      <c r="I33" s="38"/>
    </row>
    <row r="34" spans="2:9" ht="12.75">
      <c r="B34" s="3" t="s">
        <v>23</v>
      </c>
      <c r="G34" s="5" t="s">
        <v>85</v>
      </c>
      <c r="H34" s="8"/>
      <c r="I34" s="38"/>
    </row>
    <row r="35" spans="2:9" ht="12.75">
      <c r="B35" s="3" t="s">
        <v>24</v>
      </c>
      <c r="G35" s="5" t="s">
        <v>86</v>
      </c>
      <c r="H35" s="8"/>
      <c r="I35" s="38"/>
    </row>
    <row r="36" spans="2:9" ht="12.75">
      <c r="B36" s="3" t="s">
        <v>25</v>
      </c>
      <c r="G36" s="1"/>
      <c r="H36" s="2"/>
      <c r="I36" s="7"/>
    </row>
    <row r="37" ht="12.75">
      <c r="B37" s="3" t="s">
        <v>26</v>
      </c>
    </row>
    <row r="38" spans="2:11" ht="12.75">
      <c r="B38" s="3" t="s">
        <v>27</v>
      </c>
      <c r="H38" s="102" t="s">
        <v>81</v>
      </c>
      <c r="I38" s="102"/>
      <c r="J38" s="102"/>
      <c r="K38" s="102"/>
    </row>
    <row r="39" spans="2:11" ht="13.5" thickBot="1">
      <c r="B39" s="3" t="s">
        <v>28</v>
      </c>
      <c r="H39" s="27"/>
      <c r="I39" s="27"/>
      <c r="J39" s="27"/>
      <c r="K39" s="27"/>
    </row>
    <row r="40" spans="2:11" ht="13.5" thickBot="1">
      <c r="B40" s="3" t="s">
        <v>29</v>
      </c>
      <c r="H40" s="98" t="s">
        <v>94</v>
      </c>
      <c r="I40" s="99"/>
      <c r="J40" s="27"/>
      <c r="K40" s="27"/>
    </row>
    <row r="41" spans="2:11" ht="12.75">
      <c r="B41" s="3" t="s">
        <v>30</v>
      </c>
      <c r="H41" s="28" t="s">
        <v>0</v>
      </c>
      <c r="I41" s="35">
        <v>5</v>
      </c>
      <c r="J41" s="27"/>
      <c r="K41" s="27"/>
    </row>
    <row r="42" spans="8:11" ht="12.75">
      <c r="H42" s="28" t="s">
        <v>1</v>
      </c>
      <c r="I42" s="35">
        <v>0.03</v>
      </c>
      <c r="J42" s="27"/>
      <c r="K42" s="27"/>
    </row>
    <row r="43" spans="2:11" ht="12.75">
      <c r="B43" s="3" t="s">
        <v>31</v>
      </c>
      <c r="H43" s="28" t="s">
        <v>2</v>
      </c>
      <c r="I43" s="35">
        <v>0.03</v>
      </c>
      <c r="J43" s="27"/>
      <c r="K43" s="27"/>
    </row>
    <row r="44" spans="2:11" ht="13.5" thickBot="1">
      <c r="B44" s="3" t="s">
        <v>32</v>
      </c>
      <c r="H44" s="29" t="s">
        <v>3</v>
      </c>
      <c r="I44" s="36">
        <v>0.17</v>
      </c>
      <c r="J44" s="27"/>
      <c r="K44" s="27"/>
    </row>
    <row r="45" spans="2:11" ht="13.5" thickBot="1">
      <c r="B45" s="3" t="s">
        <v>37</v>
      </c>
      <c r="H45" s="27"/>
      <c r="I45" s="27"/>
      <c r="J45" s="27"/>
      <c r="K45" s="27"/>
    </row>
    <row r="46" spans="2:11" ht="13.5" thickBot="1">
      <c r="B46" s="3" t="s">
        <v>33</v>
      </c>
      <c r="H46" s="30" t="s">
        <v>4</v>
      </c>
      <c r="I46" s="37">
        <f>SUM(I41:I45)</f>
        <v>5.23</v>
      </c>
      <c r="J46" s="27"/>
      <c r="K46" s="27"/>
    </row>
    <row r="47" spans="2:11" ht="13.5" thickBot="1">
      <c r="B47" s="3" t="s">
        <v>34</v>
      </c>
      <c r="H47" s="27"/>
      <c r="I47" s="27"/>
      <c r="J47" s="27"/>
      <c r="K47" s="27"/>
    </row>
    <row r="48" spans="2:11" ht="12.75">
      <c r="B48" s="3" t="s">
        <v>35</v>
      </c>
      <c r="H48" s="100" t="s">
        <v>5</v>
      </c>
      <c r="I48" s="101"/>
      <c r="J48" s="100" t="s">
        <v>11</v>
      </c>
      <c r="K48" s="101"/>
    </row>
    <row r="49" spans="2:11" ht="12.75">
      <c r="B49" s="3" t="s">
        <v>36</v>
      </c>
      <c r="H49" s="31" t="s">
        <v>6</v>
      </c>
      <c r="I49" s="32" t="s">
        <v>9</v>
      </c>
      <c r="J49" s="31" t="s">
        <v>14</v>
      </c>
      <c r="K49" s="32" t="s">
        <v>15</v>
      </c>
    </row>
    <row r="50" spans="8:11" ht="12.75">
      <c r="H50" s="28" t="s">
        <v>7</v>
      </c>
      <c r="I50" s="33" t="s">
        <v>10</v>
      </c>
      <c r="J50" s="28" t="s">
        <v>16</v>
      </c>
      <c r="K50" s="33">
        <v>1059</v>
      </c>
    </row>
    <row r="51" spans="8:11" ht="12.75">
      <c r="H51" s="28" t="s">
        <v>8</v>
      </c>
      <c r="I51" s="33" t="s">
        <v>10</v>
      </c>
      <c r="J51" s="28" t="s">
        <v>17</v>
      </c>
      <c r="K51" s="33">
        <v>17.5</v>
      </c>
    </row>
    <row r="52" spans="8:11" ht="13.5" thickBot="1">
      <c r="H52" s="29" t="s">
        <v>12</v>
      </c>
      <c r="I52" s="34" t="s">
        <v>13</v>
      </c>
      <c r="J52" s="29" t="s">
        <v>18</v>
      </c>
      <c r="K52" s="34">
        <v>28</v>
      </c>
    </row>
    <row r="57" spans="2:12" ht="12.75">
      <c r="B57" s="95" t="s">
        <v>82</v>
      </c>
      <c r="C57" s="96"/>
      <c r="D57" s="96"/>
      <c r="E57" s="96"/>
      <c r="F57" s="96"/>
      <c r="G57" s="96"/>
      <c r="H57" s="96"/>
      <c r="I57" s="96"/>
      <c r="J57" s="96"/>
      <c r="K57" s="96"/>
      <c r="L57" s="97"/>
    </row>
    <row r="58" spans="2:12" ht="12.75">
      <c r="B58" s="5"/>
      <c r="C58" s="8"/>
      <c r="D58" s="8"/>
      <c r="E58" s="8"/>
      <c r="F58" s="8"/>
      <c r="G58" s="8"/>
      <c r="H58" s="8"/>
      <c r="I58" s="8"/>
      <c r="J58" s="8"/>
      <c r="K58" s="8"/>
      <c r="L58" s="6"/>
    </row>
    <row r="59" spans="2:12" ht="12.75">
      <c r="B59" s="5"/>
      <c r="C59" s="8"/>
      <c r="D59" s="8"/>
      <c r="E59" s="8"/>
      <c r="F59" s="8"/>
      <c r="G59" s="8"/>
      <c r="H59" s="8"/>
      <c r="I59" s="8"/>
      <c r="J59" s="8"/>
      <c r="K59" s="8"/>
      <c r="L59" s="6"/>
    </row>
    <row r="60" spans="2:12" ht="12.75">
      <c r="B60" s="5"/>
      <c r="C60" s="8"/>
      <c r="D60" s="8"/>
      <c r="E60" s="8"/>
      <c r="F60" s="8"/>
      <c r="G60" s="8"/>
      <c r="H60" s="8"/>
      <c r="I60" s="8"/>
      <c r="J60" s="8"/>
      <c r="K60" s="8"/>
      <c r="L60" s="6"/>
    </row>
    <row r="61" spans="2:12" ht="12.75">
      <c r="B61" s="5"/>
      <c r="C61" s="8"/>
      <c r="D61" s="8"/>
      <c r="E61" s="8"/>
      <c r="F61" s="8"/>
      <c r="G61" s="8"/>
      <c r="H61" s="8"/>
      <c r="I61" s="8"/>
      <c r="J61" s="8"/>
      <c r="K61" s="8"/>
      <c r="L61" s="6"/>
    </row>
    <row r="62" spans="2:12" ht="12.75">
      <c r="B62" s="5"/>
      <c r="C62" s="8"/>
      <c r="D62" s="8"/>
      <c r="E62" s="8"/>
      <c r="F62" s="8"/>
      <c r="G62" s="8"/>
      <c r="H62" s="8"/>
      <c r="I62" s="8"/>
      <c r="J62" s="8"/>
      <c r="K62" s="8"/>
      <c r="L62" s="6"/>
    </row>
    <row r="63" spans="2:12" ht="12.75">
      <c r="B63" s="5"/>
      <c r="C63" s="8"/>
      <c r="D63" s="8"/>
      <c r="E63" s="8"/>
      <c r="F63" s="8"/>
      <c r="G63" s="8"/>
      <c r="H63" s="8"/>
      <c r="I63" s="8"/>
      <c r="J63" s="8"/>
      <c r="K63" s="8"/>
      <c r="L63" s="6"/>
    </row>
    <row r="64" spans="2:12" ht="12.75">
      <c r="B64" s="5"/>
      <c r="C64" s="8"/>
      <c r="D64" s="8"/>
      <c r="E64" s="8"/>
      <c r="F64" s="8"/>
      <c r="G64" s="8"/>
      <c r="H64" s="8"/>
      <c r="I64" s="8"/>
      <c r="J64" s="8"/>
      <c r="K64" s="8"/>
      <c r="L64" s="6"/>
    </row>
    <row r="65" spans="2:12" ht="12.75">
      <c r="B65" s="5"/>
      <c r="C65" s="8"/>
      <c r="D65" s="8"/>
      <c r="E65" s="8"/>
      <c r="F65" s="8"/>
      <c r="G65" s="8"/>
      <c r="H65" s="8"/>
      <c r="I65" s="8"/>
      <c r="J65" s="8"/>
      <c r="K65" s="8"/>
      <c r="L65" s="6"/>
    </row>
    <row r="66" spans="2:12" ht="12.75">
      <c r="B66" s="5"/>
      <c r="C66" s="8"/>
      <c r="D66" s="8"/>
      <c r="E66" s="8"/>
      <c r="F66" s="8"/>
      <c r="G66" s="8"/>
      <c r="H66" s="8"/>
      <c r="I66" s="8"/>
      <c r="J66" s="8"/>
      <c r="K66" s="8"/>
      <c r="L66" s="6"/>
    </row>
    <row r="67" spans="2:12" ht="12.75">
      <c r="B67" s="5"/>
      <c r="C67" s="8"/>
      <c r="D67" s="8"/>
      <c r="E67" s="8"/>
      <c r="F67" s="8"/>
      <c r="G67" s="8"/>
      <c r="H67" s="8"/>
      <c r="I67" s="8"/>
      <c r="J67" s="8"/>
      <c r="K67" s="8"/>
      <c r="L67" s="6"/>
    </row>
    <row r="68" spans="2:12" ht="12.75">
      <c r="B68" s="5"/>
      <c r="C68" s="8"/>
      <c r="D68" s="8"/>
      <c r="E68" s="8"/>
      <c r="F68" s="8"/>
      <c r="G68" s="8"/>
      <c r="H68" s="8"/>
      <c r="I68" s="8"/>
      <c r="J68" s="8"/>
      <c r="K68" s="8"/>
      <c r="L68" s="6"/>
    </row>
    <row r="69" spans="2:12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7"/>
    </row>
    <row r="109" ht="12.75">
      <c r="C109">
        <v>0</v>
      </c>
    </row>
  </sheetData>
  <mergeCells count="19">
    <mergeCell ref="F11:G11"/>
    <mergeCell ref="F12:G12"/>
    <mergeCell ref="F13:G13"/>
    <mergeCell ref="F9:I9"/>
    <mergeCell ref="F7:H7"/>
    <mergeCell ref="F2:G2"/>
    <mergeCell ref="F3:G3"/>
    <mergeCell ref="F10:G10"/>
    <mergeCell ref="F6:H6"/>
    <mergeCell ref="B1:L1"/>
    <mergeCell ref="B2:D2"/>
    <mergeCell ref="B21:E21"/>
    <mergeCell ref="B57:L57"/>
    <mergeCell ref="G21:I21"/>
    <mergeCell ref="H40:I40"/>
    <mergeCell ref="H48:I48"/>
    <mergeCell ref="J48:K48"/>
    <mergeCell ref="H38:K38"/>
    <mergeCell ref="F5:H5"/>
  </mergeCells>
  <printOptions/>
  <pageMargins left="0.37" right="0.5" top="0.49" bottom="0.49" header="0.5" footer="0.5"/>
  <pageSetup fitToHeight="0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2006-01-11T12:40:01Z</cp:lastPrinted>
  <dcterms:created xsi:type="dcterms:W3CDTF">2005-12-05T19:05:37Z</dcterms:created>
  <dcterms:modified xsi:type="dcterms:W3CDTF">2006-02-12T12:43:48Z</dcterms:modified>
  <cp:category/>
  <cp:version/>
  <cp:contentType/>
  <cp:contentStatus/>
</cp:coreProperties>
</file>